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1749333793369/WOPIServiceId_TP_BOX_2/WOPIUserId_-/"/>
    </mc:Choice>
  </mc:AlternateContent>
  <xr:revisionPtr revIDLastSave="505" documentId="13_ncr:1_{F1EA6281-4448-4544-BD68-77754C638F08}" xr6:coauthVersionLast="47" xr6:coauthVersionMax="47" xr10:uidLastSave="{9C5C1E04-B853-43C6-BC98-855B69B6B477}"/>
  <bookViews>
    <workbookView xWindow="-120" yWindow="-120" windowWidth="29040" windowHeight="15720" activeTab="1" xr2:uid="{00000000-000D-0000-FFFF-FFFF00000000}"/>
  </bookViews>
  <sheets>
    <sheet name="דוג מפורטת לחישוב סוב" sheetId="4" r:id="rId1"/>
    <sheet name="עדכון מחיר ממוצע לק&quot;מ לפי תמהיל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5" l="1"/>
  <c r="F23" i="5"/>
  <c r="F22" i="5"/>
  <c r="F21" i="5"/>
  <c r="D23" i="5"/>
  <c r="D21" i="5" s="1"/>
  <c r="D22" i="5"/>
  <c r="D8" i="4"/>
  <c r="E19" i="4" s="1"/>
  <c r="D15" i="5"/>
  <c r="F9" i="5" s="1"/>
  <c r="E28" i="4"/>
  <c r="D14" i="5"/>
  <c r="F11" i="5" s="1"/>
  <c r="E21" i="5"/>
  <c r="C40" i="4"/>
  <c r="C46" i="4" s="1"/>
  <c r="D40" i="4"/>
  <c r="E40" i="4"/>
  <c r="F40" i="4"/>
  <c r="F51" i="4" s="1"/>
  <c r="G40" i="4"/>
  <c r="H40" i="4"/>
  <c r="I40" i="4"/>
  <c r="I47" i="4" s="1"/>
  <c r="J40" i="4"/>
  <c r="K40" i="4"/>
  <c r="K47" i="4" s="1"/>
  <c r="L40" i="4"/>
  <c r="M40" i="4"/>
  <c r="N40" i="4"/>
  <c r="N49" i="4" s="1"/>
  <c r="D41" i="4"/>
  <c r="E41" i="4"/>
  <c r="F41" i="4"/>
  <c r="G41" i="4"/>
  <c r="H41" i="4"/>
  <c r="I41" i="4"/>
  <c r="J41" i="4"/>
  <c r="K41" i="4"/>
  <c r="L41" i="4"/>
  <c r="M41" i="4"/>
  <c r="N41" i="4"/>
  <c r="D43" i="4"/>
  <c r="E43" i="4" s="1"/>
  <c r="K46" i="4"/>
  <c r="J47" i="4" l="1"/>
  <c r="H47" i="4"/>
  <c r="F10" i="5"/>
  <c r="E22" i="5" s="1"/>
  <c r="G46" i="4"/>
  <c r="M49" i="4"/>
  <c r="E47" i="4"/>
  <c r="L49" i="4"/>
  <c r="D47" i="4"/>
  <c r="C51" i="4"/>
  <c r="F47" i="4"/>
  <c r="E51" i="4"/>
  <c r="D51" i="4"/>
  <c r="M46" i="4"/>
  <c r="I51" i="4"/>
  <c r="K51" i="4"/>
  <c r="J51" i="4"/>
  <c r="H51" i="4"/>
  <c r="G51" i="4"/>
  <c r="J46" i="4"/>
  <c r="N46" i="4"/>
  <c r="H46" i="4"/>
  <c r="F46" i="4"/>
  <c r="E46" i="4"/>
  <c r="I46" i="4"/>
  <c r="L47" i="4"/>
  <c r="D46" i="4"/>
  <c r="C47" i="4"/>
  <c r="M47" i="4"/>
  <c r="N47" i="4"/>
  <c r="F43" i="4"/>
  <c r="L46" i="4"/>
  <c r="G47" i="4"/>
  <c r="G43" i="4" l="1"/>
  <c r="H43" i="4" l="1"/>
  <c r="I43" i="4" l="1"/>
  <c r="J43" i="4" l="1"/>
  <c r="K43" i="4" l="1"/>
  <c r="L43" i="4" l="1"/>
  <c r="M43" i="4" l="1"/>
  <c r="N43" i="4" l="1"/>
  <c r="D13" i="4" l="1"/>
  <c r="D17" i="4" l="1"/>
  <c r="D25" i="4" s="1"/>
  <c r="D15" i="4"/>
  <c r="D24" i="4" s="1"/>
  <c r="D22" i="4" l="1"/>
  <c r="D23" i="4" s="1"/>
  <c r="D26" i="4"/>
  <c r="D27" i="4" s="1"/>
  <c r="D28" i="4" l="1"/>
  <c r="D31" i="4" s="1"/>
  <c r="L51" i="4" l="1"/>
  <c r="L53" i="4" s="1"/>
  <c r="L57" i="4" s="1"/>
  <c r="M51" i="4"/>
  <c r="M53" i="4" s="1"/>
  <c r="M57" i="4" s="1"/>
  <c r="N51" i="4"/>
  <c r="N53" i="4" s="1"/>
  <c r="N57" i="4" s="1"/>
  <c r="D49" i="4"/>
  <c r="D53" i="4" s="1"/>
  <c r="D57" i="4" s="1"/>
  <c r="K49" i="4"/>
  <c r="K53" i="4" s="1"/>
  <c r="K57" i="4" s="1"/>
  <c r="J49" i="4"/>
  <c r="J53" i="4" s="1"/>
  <c r="J57" i="4" s="1"/>
  <c r="F49" i="4"/>
  <c r="F53" i="4" s="1"/>
  <c r="F57" i="4" s="1"/>
  <c r="C49" i="4"/>
  <c r="C53" i="4" s="1"/>
  <c r="C57" i="4" s="1"/>
  <c r="E49" i="4"/>
  <c r="E53" i="4" s="1"/>
  <c r="E57" i="4" s="1"/>
  <c r="G49" i="4"/>
  <c r="G53" i="4" s="1"/>
  <c r="G57" i="4" s="1"/>
  <c r="H49" i="4"/>
  <c r="H53" i="4" s="1"/>
  <c r="H57" i="4" s="1"/>
  <c r="I49" i="4"/>
  <c r="I53" i="4" s="1"/>
  <c r="I57" i="4" s="1"/>
</calcChain>
</file>

<file path=xl/sharedStrings.xml><?xml version="1.0" encoding="utf-8"?>
<sst xmlns="http://schemas.openxmlformats.org/spreadsheetml/2006/main" count="81" uniqueCount="74">
  <si>
    <t>נתונים:</t>
  </si>
  <si>
    <t>מדד מחירי התשומות בבסיס</t>
  </si>
  <si>
    <t>מדד המחירים לצרכן מועד בבסיס</t>
  </si>
  <si>
    <t>ההפרש בין השינוי בשער היורו לשינוי במדד המחירים</t>
  </si>
  <si>
    <t>חישוב עלות לק"מ</t>
  </si>
  <si>
    <t>שער היורו בבסיס (₪)</t>
  </si>
  <si>
    <t>הערה: הדוגמא המוצגת לעיל, הינה לצורך המחשה בלבד והיא מבוססת על נתונים היפותטיים. אין להתבסס על נתונים אלו לצורך הגשת ההצעה</t>
  </si>
  <si>
    <t>שורה</t>
  </si>
  <si>
    <t>b1</t>
  </si>
  <si>
    <t xml:space="preserve">b2 </t>
  </si>
  <si>
    <t>c1</t>
  </si>
  <si>
    <t>c2</t>
  </si>
  <si>
    <t>d1</t>
  </si>
  <si>
    <t>d2</t>
  </si>
  <si>
    <t>e</t>
  </si>
  <si>
    <t>עלות ההפעלה השנתית (אלפי ₪)</t>
  </si>
  <si>
    <t xml:space="preserve">חישוב עלות הפעלה שנתית בבסיס- סעיף 50 </t>
  </si>
  <si>
    <t>השינוי במדד מחירי התשומות בין מועד הגשת ההצעות למועד ההודעה על הזכיה</t>
  </si>
  <si>
    <t>i=c2/c1-1</t>
  </si>
  <si>
    <t>l=h+k</t>
  </si>
  <si>
    <t>m=l/a*1000</t>
  </si>
  <si>
    <t>תחשיב הסובסידיה שוטפת - סעיף 51</t>
  </si>
  <si>
    <t>i1=d2/d1-1</t>
  </si>
  <si>
    <t>j=i1-i</t>
  </si>
  <si>
    <t>עלות ההפעלה השנתית בבסיס (אלפי ₪)</t>
  </si>
  <si>
    <t>g=(b2/b1-1)</t>
  </si>
  <si>
    <t>h=e*(1+g)</t>
  </si>
  <si>
    <t>עדכון ההצעה הכספית בגין שינוי במדד מחירי התשומות (אלפי ₪)</t>
  </si>
  <si>
    <t>עלות לק"מ בבסיס (p) (₪)</t>
  </si>
  <si>
    <t>שער היורו שישמש להתחשבנות- השער היציג הידוע ביום העשירי מיום הודעת הזכייה (₪)</t>
  </si>
  <si>
    <t>מדד מחירי התשומות במועד בו ייקבע שער היורו שימש להתחשבנות</t>
  </si>
  <si>
    <t>מדד המחירים לצרכן במועד בו ייקבע שער היורו שישמש להתחשבנות</t>
  </si>
  <si>
    <t>השער לעדכון עלות ההפעלה</t>
  </si>
  <si>
    <t>שער היורו</t>
  </si>
  <si>
    <t>שיעור השינוי במדד המחירים לצרכן בין הבסיס למועד בו נקבע שער היורו שישמש להתחשבנות</t>
  </si>
  <si>
    <t>שיעור השינוי בשער היורו בין הבסיס למועד בו נקבע שער היורו שישמש להתחשבנות</t>
  </si>
  <si>
    <t>k=20%*e*j</t>
  </si>
  <si>
    <t>Kmd</t>
  </si>
  <si>
    <t xml:space="preserve">סך ק"מ רכב שהוצעו כתוספת שירות בהצעת המפעיל חלקי  36 </t>
  </si>
  <si>
    <t>Kmb</t>
  </si>
  <si>
    <t>Kmc</t>
  </si>
  <si>
    <t>Kmc'</t>
  </si>
  <si>
    <t>Kme</t>
  </si>
  <si>
    <t>סך ק"מ רכב שבוצע בפועל בחודש ההתחשבנות</t>
  </si>
  <si>
    <t>מדד מחירי תשומות בחודש ההתחשבנות</t>
  </si>
  <si>
    <t xml:space="preserve"> סך ק"מ רכב שבוצע בפועל בחודש ההתחשבנות</t>
  </si>
  <si>
    <t xml:space="preserve">רכיב חודשי </t>
  </si>
  <si>
    <t xml:space="preserve">רכיב שולי </t>
  </si>
  <si>
    <t>AOC</t>
  </si>
  <si>
    <t>הכנסה חודשית בפועל</t>
  </si>
  <si>
    <t>דוגמא לחישוב סובסידיה שוטפת (אלפים)</t>
  </si>
  <si>
    <t>סך ק"מ רכב שנתי במפת הבסיס (kmb)- אלפים</t>
  </si>
  <si>
    <t>סך ק"מ רכב שהוצעו כתוספת שירות בהצעת המפעיל חלקי 36 - אלפים</t>
  </si>
  <si>
    <t>הסובסידיה החודשית השוטפת- סעיף 51.2</t>
  </si>
  <si>
    <r>
      <t>חישוב עלות ההפעלה  (Aoc)</t>
    </r>
    <r>
      <rPr>
        <u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משויכים לקווי השירות- סעיף 51.1</t>
    </r>
  </si>
  <si>
    <t>מכפלת 20% מעלות ההפעלה השנתית בהפרש השינוי בשער היורו לשינוי במדד המחירים לצרכן (₪)</t>
  </si>
  <si>
    <t>Kmb&gt;Kmc</t>
  </si>
  <si>
    <t>Kmb&lt;Kmc</t>
  </si>
  <si>
    <r>
      <t>סך ק"מ רכב שבוצע בפועל, במצטבר מתחילת השנה ועד חודש ההתחשבנות (</t>
    </r>
    <r>
      <rPr>
        <b/>
        <u/>
        <sz val="11"/>
        <color theme="1"/>
        <rFont val="Calibri"/>
        <family val="2"/>
        <scheme val="minor"/>
      </rPr>
      <t>לא</t>
    </r>
    <r>
      <rPr>
        <sz val="11"/>
        <color theme="1"/>
        <rFont val="Calibri"/>
        <family val="2"/>
        <scheme val="minor"/>
      </rPr>
      <t xml:space="preserve"> כולל חודש נוכחי)</t>
    </r>
  </si>
  <si>
    <r>
      <t>סך ק"מ רכב שבוצע בפועל, במצטבר מתחילת השנה ועד חודש ההתחשבנות (</t>
    </r>
    <r>
      <rPr>
        <b/>
        <u/>
        <sz val="11"/>
        <color theme="1"/>
        <rFont val="Calibri"/>
        <family val="2"/>
        <scheme val="minor"/>
      </rPr>
      <t>כולל</t>
    </r>
    <r>
      <rPr>
        <sz val="11"/>
        <color theme="1"/>
        <rFont val="Calibri"/>
        <family val="2"/>
        <scheme val="minor"/>
      </rPr>
      <t xml:space="preserve"> חודש נוכחי)</t>
    </r>
  </si>
  <si>
    <t>סוג האוטובוס</t>
  </si>
  <si>
    <t>תמהיל ק"מ רכב  בבסיס באלפים</t>
  </si>
  <si>
    <t>מקדם עלות ק"מ ביחס לעלות ק"מ  בבסיס</t>
  </si>
  <si>
    <t xml:space="preserve">אוטובוס עירוני- רגיל/חשמלי </t>
  </si>
  <si>
    <t>מפרקי</t>
  </si>
  <si>
    <t>סה"כ</t>
  </si>
  <si>
    <t>דוגמא: תחשיב לאופן עדכון העלות ק"מ ממוצעת</t>
  </si>
  <si>
    <t>תמהיל בבסיס</t>
  </si>
  <si>
    <t xml:space="preserve">תמהיל בפועל </t>
  </si>
  <si>
    <t>עלות הפעלה שנתית</t>
  </si>
  <si>
    <t>תמהיל ק"מ רכב  שבוצע בחודש מאי</t>
  </si>
  <si>
    <t>עלות הפעלה</t>
  </si>
  <si>
    <t>עלות לק"מ בבסיס מעודכנת לחודש מאי (p) (₪)</t>
  </si>
  <si>
    <t>עלות הפעלה חודשית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</si>
</sst>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  <numFmt numFmtId="167" formatCode="0.000"/>
    <numFmt numFmtId="168" formatCode="_ * #,##0.00000_ ;_ * \-#,##0.00000_ ;_ * &quot;-&quot;??_ ;_ @_ "/>
  </numFmts>
  <fonts count="9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2" fillId="0" borderId="0" xfId="0" applyFont="1"/>
    <xf numFmtId="164" fontId="2" fillId="0" borderId="0" xfId="1" applyNumberFormat="1" applyFont="1" applyFill="1"/>
    <xf numFmtId="0" fontId="2" fillId="0" borderId="0" xfId="0" applyFont="1" applyAlignment="1">
      <alignment horizontal="center"/>
    </xf>
    <xf numFmtId="43" fontId="2" fillId="0" borderId="0" xfId="0" applyNumberFormat="1" applyFont="1"/>
    <xf numFmtId="43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1" applyNumberFormat="1" applyFont="1" applyFill="1"/>
    <xf numFmtId="164" fontId="4" fillId="0" borderId="0" xfId="0" applyNumberFormat="1" applyFont="1"/>
    <xf numFmtId="164" fontId="4" fillId="0" borderId="0" xfId="1" quotePrefix="1" applyNumberFormat="1" applyFont="1" applyFill="1"/>
    <xf numFmtId="43" fontId="4" fillId="0" borderId="0" xfId="1" applyFont="1" applyFill="1"/>
    <xf numFmtId="166" fontId="4" fillId="0" borderId="0" xfId="1" applyNumberFormat="1" applyFont="1" applyFill="1"/>
    <xf numFmtId="0" fontId="4" fillId="0" borderId="0" xfId="0" applyFont="1" applyAlignment="1">
      <alignment wrapText="1"/>
    </xf>
    <xf numFmtId="165" fontId="4" fillId="0" borderId="0" xfId="2" applyNumberFormat="1" applyFont="1" applyFill="1"/>
    <xf numFmtId="43" fontId="4" fillId="0" borderId="0" xfId="0" applyNumberFormat="1" applyFont="1"/>
    <xf numFmtId="0" fontId="3" fillId="0" borderId="0" xfId="0" applyFont="1" applyAlignment="1">
      <alignment horizontal="centerContinuous" vertical="justify"/>
    </xf>
    <xf numFmtId="164" fontId="0" fillId="0" borderId="0" xfId="1" applyNumberFormat="1" applyFont="1"/>
    <xf numFmtId="17" fontId="0" fillId="0" borderId="0" xfId="0" applyNumberFormat="1"/>
    <xf numFmtId="0" fontId="2" fillId="0" borderId="0" xfId="0" applyFont="1" applyAlignment="1">
      <alignment horizontal="right"/>
    </xf>
    <xf numFmtId="164" fontId="2" fillId="0" borderId="0" xfId="1" applyNumberFormat="1" applyFont="1"/>
    <xf numFmtId="164" fontId="2" fillId="0" borderId="0" xfId="0" applyNumberFormat="1" applyFont="1"/>
    <xf numFmtId="0" fontId="3" fillId="0" borderId="0" xfId="0" applyFont="1" applyAlignment="1">
      <alignment horizontal="left" vertical="justify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wrapText="1"/>
    </xf>
    <xf numFmtId="4" fontId="6" fillId="0" borderId="4" xfId="0" applyNumberFormat="1" applyFont="1" applyBorder="1" applyAlignment="1">
      <alignment horizontal="center" vertical="center" wrapText="1" readingOrder="1"/>
    </xf>
    <xf numFmtId="4" fontId="7" fillId="0" borderId="4" xfId="0" applyNumberFormat="1" applyFont="1" applyBorder="1" applyAlignment="1">
      <alignment horizontal="center" vertical="center" wrapText="1" readingOrder="1"/>
    </xf>
    <xf numFmtId="9" fontId="4" fillId="0" borderId="0" xfId="0" applyNumberFormat="1" applyFont="1"/>
    <xf numFmtId="9" fontId="0" fillId="0" borderId="0" xfId="0" applyNumberFormat="1"/>
    <xf numFmtId="2" fontId="4" fillId="0" borderId="0" xfId="0" applyNumberFormat="1" applyFont="1"/>
    <xf numFmtId="43" fontId="4" fillId="0" borderId="0" xfId="1" applyFont="1"/>
    <xf numFmtId="164" fontId="4" fillId="0" borderId="0" xfId="1" applyNumberFormat="1" applyFont="1"/>
    <xf numFmtId="43" fontId="0" fillId="0" borderId="0" xfId="1" applyFont="1"/>
    <xf numFmtId="166" fontId="2" fillId="0" borderId="0" xfId="0" applyNumberFormat="1" applyFont="1"/>
    <xf numFmtId="3" fontId="6" fillId="0" borderId="4" xfId="0" applyNumberFormat="1" applyFont="1" applyBorder="1" applyAlignment="1">
      <alignment horizontal="center" vertical="center" wrapText="1" readingOrder="1"/>
    </xf>
    <xf numFmtId="0" fontId="2" fillId="0" borderId="6" xfId="0" applyFont="1" applyBorder="1"/>
    <xf numFmtId="164" fontId="2" fillId="0" borderId="7" xfId="0" applyNumberFormat="1" applyFont="1" applyBorder="1"/>
    <xf numFmtId="0" fontId="2" fillId="0" borderId="8" xfId="0" applyFont="1" applyBorder="1"/>
    <xf numFmtId="166" fontId="2" fillId="0" borderId="9" xfId="0" applyNumberFormat="1" applyFont="1" applyBorder="1"/>
    <xf numFmtId="164" fontId="6" fillId="0" borderId="4" xfId="1" applyNumberFormat="1" applyFont="1" applyBorder="1" applyAlignment="1">
      <alignment horizontal="center" vertical="center" wrapText="1" readingOrder="1"/>
    </xf>
    <xf numFmtId="164" fontId="7" fillId="0" borderId="4" xfId="1" applyNumberFormat="1" applyFont="1" applyBorder="1" applyAlignment="1">
      <alignment horizontal="center" vertical="center" wrapText="1" readingOrder="1"/>
    </xf>
    <xf numFmtId="0" fontId="2" fillId="0" borderId="10" xfId="0" applyFont="1" applyBorder="1"/>
    <xf numFmtId="166" fontId="2" fillId="0" borderId="11" xfId="0" applyNumberFormat="1" applyFont="1" applyBorder="1"/>
    <xf numFmtId="0" fontId="7" fillId="0" borderId="1" xfId="0" applyFont="1" applyBorder="1" applyAlignment="1">
      <alignment horizontal="center" vertical="center" readingOrder="1"/>
    </xf>
    <xf numFmtId="0" fontId="7" fillId="0" borderId="2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right" vertical="center" wrapText="1" readingOrder="1"/>
    </xf>
    <xf numFmtId="167" fontId="8" fillId="0" borderId="5" xfId="0" applyNumberFormat="1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right" vertical="center" readingOrder="1"/>
    </xf>
    <xf numFmtId="0" fontId="7" fillId="0" borderId="3" xfId="0" applyFont="1" applyBorder="1" applyAlignment="1">
      <alignment horizontal="right" vertical="center" readingOrder="2"/>
    </xf>
    <xf numFmtId="168" fontId="7" fillId="0" borderId="4" xfId="0" applyNumberFormat="1" applyFont="1" applyBorder="1" applyAlignment="1">
      <alignment horizontal="left" vertical="center" readingOrder="1"/>
    </xf>
    <xf numFmtId="0" fontId="7" fillId="0" borderId="4" xfId="0" applyFont="1" applyBorder="1" applyAlignment="1">
      <alignment horizontal="left"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335643</xdr:colOff>
      <xdr:row>60</xdr:row>
      <xdr:rowOff>-1</xdr:rowOff>
    </xdr:from>
    <xdr:to>
      <xdr:col>1</xdr:col>
      <xdr:colOff>449943</xdr:colOff>
      <xdr:row>61</xdr:row>
      <xdr:rowOff>9071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B977412E-5E44-C005-0921-BB0DA05EF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5455628" y="10912928"/>
          <a:ext cx="1143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2685145</xdr:colOff>
      <xdr:row>50</xdr:row>
      <xdr:rowOff>18144</xdr:rowOff>
    </xdr:from>
    <xdr:to>
      <xdr:col>1</xdr:col>
      <xdr:colOff>2096409</xdr:colOff>
      <xdr:row>50</xdr:row>
      <xdr:rowOff>176893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548DD0BD-F28C-82F9-C9C3-C59D8768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3809162" y="9080501"/>
          <a:ext cx="4799693" cy="158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716643</xdr:colOff>
      <xdr:row>50</xdr:row>
      <xdr:rowOff>99786</xdr:rowOff>
    </xdr:from>
    <xdr:to>
      <xdr:col>0</xdr:col>
      <xdr:colOff>2540000</xdr:colOff>
      <xdr:row>50</xdr:row>
      <xdr:rowOff>117928</xdr:rowOff>
    </xdr:to>
    <xdr:cxnSp macro="">
      <xdr:nvCxnSpPr>
        <xdr:cNvPr id="9" name="מחבר חץ ישר 8">
          <a:extLst>
            <a:ext uri="{FF2B5EF4-FFF2-40B4-BE49-F238E27FC236}">
              <a16:creationId xmlns:a16="http://schemas.microsoft.com/office/drawing/2014/main" id="{21772121-15E0-B514-D18A-850DA816CF03}"/>
            </a:ext>
          </a:extLst>
        </xdr:cNvPr>
        <xdr:cNvCxnSpPr/>
      </xdr:nvCxnSpPr>
      <xdr:spPr>
        <a:xfrm flipH="1" flipV="1">
          <a:off x="10858754000" y="9162143"/>
          <a:ext cx="1823357" cy="181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743857</xdr:colOff>
      <xdr:row>48</xdr:row>
      <xdr:rowOff>108857</xdr:rowOff>
    </xdr:from>
    <xdr:to>
      <xdr:col>0</xdr:col>
      <xdr:colOff>5334000</xdr:colOff>
      <xdr:row>48</xdr:row>
      <xdr:rowOff>126999</xdr:rowOff>
    </xdr:to>
    <xdr:cxnSp macro="">
      <xdr:nvCxnSpPr>
        <xdr:cNvPr id="11" name="מחבר חץ ישר 10">
          <a:extLst>
            <a:ext uri="{FF2B5EF4-FFF2-40B4-BE49-F238E27FC236}">
              <a16:creationId xmlns:a16="http://schemas.microsoft.com/office/drawing/2014/main" id="{DED97C98-3C16-41D1-96AC-0DCEECDBA60C}"/>
            </a:ext>
          </a:extLst>
        </xdr:cNvPr>
        <xdr:cNvCxnSpPr/>
      </xdr:nvCxnSpPr>
      <xdr:spPr>
        <a:xfrm flipH="1" flipV="1">
          <a:off x="10855960000" y="8808357"/>
          <a:ext cx="4590143" cy="181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217715</xdr:colOff>
      <xdr:row>47</xdr:row>
      <xdr:rowOff>163286</xdr:rowOff>
    </xdr:from>
    <xdr:to>
      <xdr:col>1</xdr:col>
      <xdr:colOff>2014765</xdr:colOff>
      <xdr:row>48</xdr:row>
      <xdr:rowOff>175986</xdr:rowOff>
    </xdr:to>
    <xdr:pic>
      <xdr:nvPicPr>
        <xdr:cNvPr id="12" name="תמונה 11">
          <a:extLst>
            <a:ext uri="{FF2B5EF4-FFF2-40B4-BE49-F238E27FC236}">
              <a16:creationId xmlns:a16="http://schemas.microsoft.com/office/drawing/2014/main" id="{05711AD5-46EE-F859-DACB-DFE90BC9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3890806" y="8681357"/>
          <a:ext cx="1797050" cy="194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84"/>
  <sheetViews>
    <sheetView rightToLeft="1" topLeftCell="A36" zoomScale="70" zoomScaleNormal="70" workbookViewId="0">
      <selection activeCell="B43" sqref="B43"/>
    </sheetView>
  </sheetViews>
  <sheetFormatPr defaultColWidth="8.7109375" defaultRowHeight="15" x14ac:dyDescent="0.25"/>
  <cols>
    <col min="1" max="1" width="72.28515625" style="9" customWidth="1"/>
    <col min="2" max="14" width="18.28515625" style="9" customWidth="1"/>
    <col min="15" max="15" width="4.28515625" style="9" bestFit="1" customWidth="1"/>
    <col min="16" max="16384" width="8.7109375" style="9"/>
  </cols>
  <sheetData>
    <row r="2" spans="1:6" x14ac:dyDescent="0.25">
      <c r="A2" s="25" t="s">
        <v>50</v>
      </c>
      <c r="B2" s="19"/>
      <c r="C2" s="19"/>
      <c r="D2" s="19"/>
    </row>
    <row r="4" spans="1:6" x14ac:dyDescent="0.25">
      <c r="A4" s="1" t="s">
        <v>0</v>
      </c>
      <c r="B4" s="1"/>
      <c r="C4" s="2" t="s">
        <v>7</v>
      </c>
    </row>
    <row r="5" spans="1:6" x14ac:dyDescent="0.25">
      <c r="D5" s="11"/>
    </row>
    <row r="6" spans="1:6" x14ac:dyDescent="0.25">
      <c r="D6" s="11"/>
      <c r="E6" s="11"/>
      <c r="F6" s="11"/>
    </row>
    <row r="7" spans="1:6" x14ac:dyDescent="0.25">
      <c r="C7" s="10"/>
      <c r="D7" s="13"/>
    </row>
    <row r="8" spans="1:6" x14ac:dyDescent="0.25">
      <c r="A8" s="9" t="s">
        <v>51</v>
      </c>
      <c r="B8" s="10" t="s">
        <v>39</v>
      </c>
      <c r="C8" s="10"/>
      <c r="D8" s="11">
        <f>'עדכון מחיר ממוצע לק"מ לפי תמהיל'!D11</f>
        <v>11146.7</v>
      </c>
      <c r="E8" s="12"/>
    </row>
    <row r="9" spans="1:6" x14ac:dyDescent="0.25">
      <c r="A9" s="9" t="s">
        <v>52</v>
      </c>
      <c r="B9" s="10" t="s">
        <v>37</v>
      </c>
      <c r="C9" s="10"/>
      <c r="D9" s="11">
        <v>35</v>
      </c>
      <c r="E9" s="18"/>
    </row>
    <row r="10" spans="1:6" x14ac:dyDescent="0.25">
      <c r="A10" s="9" t="s">
        <v>32</v>
      </c>
      <c r="C10" s="10"/>
      <c r="D10" s="11" t="s">
        <v>33</v>
      </c>
    </row>
    <row r="11" spans="1:6" x14ac:dyDescent="0.25">
      <c r="C11" s="10"/>
      <c r="D11" s="11"/>
    </row>
    <row r="12" spans="1:6" ht="12.6" customHeight="1" x14ac:dyDescent="0.25">
      <c r="A12" s="9" t="s">
        <v>1</v>
      </c>
      <c r="C12" s="10" t="s">
        <v>8</v>
      </c>
      <c r="D12" s="14">
        <v>100</v>
      </c>
    </row>
    <row r="13" spans="1:6" ht="15" customHeight="1" x14ac:dyDescent="0.25">
      <c r="A13" s="9" t="s">
        <v>30</v>
      </c>
      <c r="C13" s="10" t="s">
        <v>9</v>
      </c>
      <c r="D13" s="14">
        <f>D12*1.05</f>
        <v>105</v>
      </c>
    </row>
    <row r="14" spans="1:6" x14ac:dyDescent="0.25">
      <c r="A14" s="9" t="s">
        <v>2</v>
      </c>
      <c r="C14" s="10" t="s">
        <v>10</v>
      </c>
      <c r="D14" s="14">
        <v>103.1</v>
      </c>
      <c r="F14" s="12"/>
    </row>
    <row r="15" spans="1:6" x14ac:dyDescent="0.25">
      <c r="A15" s="9" t="s">
        <v>31</v>
      </c>
      <c r="C15" s="10" t="s">
        <v>11</v>
      </c>
      <c r="D15" s="14">
        <f>D14*1.02</f>
        <v>105.16199999999999</v>
      </c>
    </row>
    <row r="16" spans="1:6" x14ac:dyDescent="0.25">
      <c r="A16" s="9" t="s">
        <v>5</v>
      </c>
      <c r="C16" s="10" t="s">
        <v>12</v>
      </c>
      <c r="D16" s="15">
        <v>3.7965</v>
      </c>
    </row>
    <row r="17" spans="1:5" x14ac:dyDescent="0.25">
      <c r="A17" s="9" t="s">
        <v>29</v>
      </c>
      <c r="C17" s="10" t="s">
        <v>13</v>
      </c>
      <c r="D17" s="15">
        <f>D16*1.035</f>
        <v>3.9293774999999997</v>
      </c>
    </row>
    <row r="18" spans="1:5" x14ac:dyDescent="0.25">
      <c r="C18" s="10"/>
      <c r="D18" s="11"/>
    </row>
    <row r="19" spans="1:5" x14ac:dyDescent="0.25">
      <c r="A19" s="9" t="s">
        <v>15</v>
      </c>
      <c r="C19" s="10" t="s">
        <v>14</v>
      </c>
      <c r="D19" s="11">
        <v>223554.37278853543</v>
      </c>
      <c r="E19" s="9">
        <f>D19/D8</f>
        <v>20.05565528708366</v>
      </c>
    </row>
    <row r="20" spans="1:5" x14ac:dyDescent="0.25">
      <c r="C20" s="10"/>
      <c r="D20" s="11"/>
    </row>
    <row r="21" spans="1:5" x14ac:dyDescent="0.25">
      <c r="A21" s="1" t="s">
        <v>16</v>
      </c>
      <c r="B21" s="1"/>
      <c r="C21" s="10"/>
      <c r="D21" s="11"/>
    </row>
    <row r="22" spans="1:5" x14ac:dyDescent="0.25">
      <c r="A22" s="16" t="s">
        <v>17</v>
      </c>
      <c r="B22" s="16"/>
      <c r="C22" s="10" t="s">
        <v>25</v>
      </c>
      <c r="D22" s="14">
        <f>D13/D12-1</f>
        <v>5.0000000000000044E-2</v>
      </c>
    </row>
    <row r="23" spans="1:5" x14ac:dyDescent="0.25">
      <c r="A23" s="16" t="s">
        <v>27</v>
      </c>
      <c r="B23" s="16"/>
      <c r="C23" s="10" t="s">
        <v>26</v>
      </c>
      <c r="D23" s="11">
        <f>(D22+1)*D19</f>
        <v>234732.09142796221</v>
      </c>
    </row>
    <row r="24" spans="1:5" ht="30" x14ac:dyDescent="0.25">
      <c r="A24" s="16" t="s">
        <v>34</v>
      </c>
      <c r="B24" s="16"/>
      <c r="C24" s="10" t="s">
        <v>18</v>
      </c>
      <c r="D24" s="17">
        <f>D15/D14-1</f>
        <v>2.0000000000000018E-2</v>
      </c>
    </row>
    <row r="25" spans="1:5" x14ac:dyDescent="0.25">
      <c r="A25" s="16" t="s">
        <v>35</v>
      </c>
      <c r="B25" s="16"/>
      <c r="C25" s="10" t="s">
        <v>22</v>
      </c>
      <c r="D25" s="17">
        <f>D17/D16-1</f>
        <v>3.499999999999992E-2</v>
      </c>
    </row>
    <row r="26" spans="1:5" x14ac:dyDescent="0.25">
      <c r="A26" s="16" t="s">
        <v>3</v>
      </c>
      <c r="B26" s="16"/>
      <c r="C26" s="10" t="s">
        <v>23</v>
      </c>
      <c r="D26" s="17">
        <f>D25-D24</f>
        <v>1.4999999999999902E-2</v>
      </c>
    </row>
    <row r="27" spans="1:5" ht="30" x14ac:dyDescent="0.25">
      <c r="A27" s="16" t="s">
        <v>55</v>
      </c>
      <c r="B27" s="16"/>
      <c r="C27" s="10" t="s">
        <v>36</v>
      </c>
      <c r="D27" s="11">
        <f>D26*0.2*D19</f>
        <v>670.66311836560192</v>
      </c>
    </row>
    <row r="28" spans="1:5" x14ac:dyDescent="0.25">
      <c r="A28" s="4" t="s">
        <v>24</v>
      </c>
      <c r="B28" s="4"/>
      <c r="C28" s="6" t="s">
        <v>19</v>
      </c>
      <c r="D28" s="5">
        <f>D23+D27</f>
        <v>235402.75454632781</v>
      </c>
      <c r="E28" s="9">
        <f>D28/D19</f>
        <v>1.0529999999999999</v>
      </c>
    </row>
    <row r="29" spans="1:5" x14ac:dyDescent="0.25">
      <c r="C29" s="10"/>
      <c r="D29" s="11"/>
    </row>
    <row r="30" spans="1:5" x14ac:dyDescent="0.25">
      <c r="A30" s="1" t="s">
        <v>4</v>
      </c>
      <c r="B30" s="1"/>
      <c r="C30" s="10"/>
      <c r="D30" s="11"/>
    </row>
    <row r="31" spans="1:5" x14ac:dyDescent="0.25">
      <c r="A31" s="4" t="s">
        <v>28</v>
      </c>
      <c r="B31" s="4"/>
      <c r="C31" s="6" t="s">
        <v>20</v>
      </c>
      <c r="D31" s="37">
        <f>D28/D8</f>
        <v>21.118605017299092</v>
      </c>
    </row>
    <row r="32" spans="1:5" x14ac:dyDescent="0.25">
      <c r="C32" s="10"/>
      <c r="D32" s="11"/>
    </row>
    <row r="33" spans="1:16" x14ac:dyDescent="0.25">
      <c r="A33" s="1" t="s">
        <v>21</v>
      </c>
      <c r="B33" s="1"/>
      <c r="D33" s="11"/>
    </row>
    <row r="34" spans="1:16" x14ac:dyDescent="0.25">
      <c r="A34" s="1"/>
      <c r="D34" s="11"/>
    </row>
    <row r="35" spans="1:16" x14ac:dyDescent="0.25">
      <c r="A35" s="1" t="s">
        <v>54</v>
      </c>
      <c r="D35" s="11"/>
    </row>
    <row r="36" spans="1:16" x14ac:dyDescent="0.25">
      <c r="A36" s="1"/>
      <c r="D36" s="11"/>
    </row>
    <row r="37" spans="1:16" x14ac:dyDescent="0.25">
      <c r="A37"/>
      <c r="C37"/>
      <c r="D37" s="7"/>
      <c r="E37"/>
      <c r="F37"/>
      <c r="G37"/>
      <c r="H37"/>
      <c r="I37"/>
      <c r="J37"/>
      <c r="K37" s="8"/>
      <c r="L37" s="8"/>
      <c r="M37"/>
      <c r="N37"/>
      <c r="O37"/>
      <c r="P37"/>
    </row>
    <row r="38" spans="1:16" x14ac:dyDescent="0.25">
      <c r="A38"/>
      <c r="B38"/>
      <c r="C38" s="21">
        <v>45658</v>
      </c>
      <c r="D38" s="21">
        <v>45689</v>
      </c>
      <c r="E38" s="21">
        <v>45717</v>
      </c>
      <c r="F38" s="21">
        <v>45748</v>
      </c>
      <c r="G38" s="21">
        <v>45778</v>
      </c>
      <c r="H38" s="21">
        <v>45809</v>
      </c>
      <c r="I38" s="21">
        <v>45839</v>
      </c>
      <c r="J38" s="21">
        <v>45870</v>
      </c>
      <c r="K38" s="21">
        <v>45901</v>
      </c>
      <c r="L38" s="21">
        <v>45931</v>
      </c>
      <c r="M38" s="21">
        <v>45962</v>
      </c>
      <c r="N38" s="21">
        <v>45992</v>
      </c>
      <c r="O38"/>
    </row>
    <row r="39" spans="1:16" x14ac:dyDescent="0.25">
      <c r="A39" s="16" t="s">
        <v>43</v>
      </c>
      <c r="B39" s="10" t="s">
        <v>42</v>
      </c>
      <c r="C39" s="20">
        <v>1170</v>
      </c>
      <c r="D39" s="20">
        <v>1150</v>
      </c>
      <c r="E39" s="20">
        <v>1180</v>
      </c>
      <c r="F39" s="20">
        <v>1160</v>
      </c>
      <c r="G39" s="20">
        <v>1200</v>
      </c>
      <c r="H39" s="20">
        <v>1201</v>
      </c>
      <c r="I39" s="20">
        <v>1170</v>
      </c>
      <c r="J39" s="20">
        <v>1170</v>
      </c>
      <c r="K39" s="20">
        <v>1170</v>
      </c>
      <c r="L39" s="20">
        <v>1100</v>
      </c>
      <c r="M39" s="20">
        <v>1205</v>
      </c>
      <c r="N39" s="20">
        <v>1210</v>
      </c>
      <c r="O39" s="20"/>
    </row>
    <row r="40" spans="1:16" ht="30" x14ac:dyDescent="0.25">
      <c r="A40" s="16" t="s">
        <v>59</v>
      </c>
      <c r="B40" s="10" t="s">
        <v>40</v>
      </c>
      <c r="C40" s="20">
        <f>SUM($C$39:C39)</f>
        <v>1170</v>
      </c>
      <c r="D40" s="20">
        <f>SUM($C$39:D39)</f>
        <v>2320</v>
      </c>
      <c r="E40" s="20">
        <f>SUM($C$39:E39)</f>
        <v>3500</v>
      </c>
      <c r="F40" s="20">
        <f>SUM($C$39:F39)</f>
        <v>4660</v>
      </c>
      <c r="G40" s="20">
        <f>SUM($C$39:G39)</f>
        <v>5860</v>
      </c>
      <c r="H40" s="20">
        <f>SUM($C$39:H39)</f>
        <v>7061</v>
      </c>
      <c r="I40" s="20">
        <f>SUM($C$39:I39)</f>
        <v>8231</v>
      </c>
      <c r="J40" s="20">
        <f>SUM($C$39:J39)</f>
        <v>9401</v>
      </c>
      <c r="K40" s="20">
        <f>SUM($C$39:K39)</f>
        <v>10571</v>
      </c>
      <c r="L40" s="20">
        <f>SUM($C$39:L39)</f>
        <v>11671</v>
      </c>
      <c r="M40" s="20">
        <f>SUM($C$39:M39)</f>
        <v>12876</v>
      </c>
      <c r="N40" s="20">
        <f>SUM($C$39:N39)</f>
        <v>14086</v>
      </c>
      <c r="O40"/>
    </row>
    <row r="41" spans="1:16" ht="16.5" customHeight="1" x14ac:dyDescent="0.25">
      <c r="A41" s="16" t="s">
        <v>58</v>
      </c>
      <c r="B41" s="10" t="s">
        <v>41</v>
      </c>
      <c r="C41" s="20"/>
      <c r="D41" s="20">
        <f>SUM($C$39:C39)</f>
        <v>1170</v>
      </c>
      <c r="E41" s="20">
        <f>SUM($C$39:D39)</f>
        <v>2320</v>
      </c>
      <c r="F41" s="20">
        <f>SUM($C$39:E39)</f>
        <v>3500</v>
      </c>
      <c r="G41" s="20">
        <f>SUM($C$39:F39)</f>
        <v>4660</v>
      </c>
      <c r="H41" s="20">
        <f>SUM($C$39:G39)</f>
        <v>5860</v>
      </c>
      <c r="I41" s="20">
        <f>SUM($C$39:H39)</f>
        <v>7061</v>
      </c>
      <c r="J41" s="20">
        <f>SUM($C$39:I39)</f>
        <v>8231</v>
      </c>
      <c r="K41" s="20">
        <f>SUM($C$39:J39)</f>
        <v>9401</v>
      </c>
      <c r="L41" s="20">
        <f>SUM($C$39:K39)</f>
        <v>10571</v>
      </c>
      <c r="M41" s="20">
        <f>SUM($C$39:L39)</f>
        <v>11671</v>
      </c>
      <c r="N41" s="20">
        <f>SUM($C$39:M39)</f>
        <v>12876</v>
      </c>
      <c r="O41"/>
    </row>
    <row r="42" spans="1:16" x14ac:dyDescent="0.25">
      <c r="A42" s="16" t="s">
        <v>38</v>
      </c>
      <c r="B42" s="10" t="s">
        <v>37</v>
      </c>
      <c r="C42">
        <v>35</v>
      </c>
      <c r="D42">
        <v>35</v>
      </c>
      <c r="E42">
        <v>35</v>
      </c>
      <c r="F42">
        <v>35</v>
      </c>
      <c r="G42">
        <v>35</v>
      </c>
      <c r="H42">
        <v>35</v>
      </c>
      <c r="I42">
        <v>35</v>
      </c>
      <c r="J42">
        <v>35</v>
      </c>
      <c r="K42">
        <v>35</v>
      </c>
      <c r="L42">
        <v>35</v>
      </c>
      <c r="M42">
        <v>35</v>
      </c>
      <c r="N42">
        <v>35</v>
      </c>
      <c r="O42"/>
    </row>
    <row r="43" spans="1:16" x14ac:dyDescent="0.25">
      <c r="A43" s="16" t="s">
        <v>44</v>
      </c>
      <c r="C43">
        <v>106</v>
      </c>
      <c r="D43">
        <f t="shared" ref="D43:N43" si="0">C43+1</f>
        <v>107</v>
      </c>
      <c r="E43">
        <f t="shared" si="0"/>
        <v>108</v>
      </c>
      <c r="F43">
        <f t="shared" si="0"/>
        <v>109</v>
      </c>
      <c r="G43">
        <f t="shared" si="0"/>
        <v>110</v>
      </c>
      <c r="H43">
        <f t="shared" si="0"/>
        <v>111</v>
      </c>
      <c r="I43">
        <f t="shared" si="0"/>
        <v>112</v>
      </c>
      <c r="J43">
        <f t="shared" si="0"/>
        <v>113</v>
      </c>
      <c r="K43">
        <f t="shared" si="0"/>
        <v>114</v>
      </c>
      <c r="L43">
        <f t="shared" si="0"/>
        <v>115</v>
      </c>
      <c r="M43">
        <f t="shared" si="0"/>
        <v>116</v>
      </c>
      <c r="N43">
        <f t="shared" si="0"/>
        <v>117</v>
      </c>
      <c r="O43"/>
    </row>
    <row r="44" spans="1:16" x14ac:dyDescent="0.25">
      <c r="A44"/>
      <c r="B44"/>
      <c r="C44"/>
      <c r="D44"/>
      <c r="E44"/>
      <c r="F44"/>
      <c r="G44"/>
      <c r="H44"/>
      <c r="I44"/>
      <c r="J44"/>
      <c r="K44" s="3"/>
      <c r="L44" s="3"/>
      <c r="M44" s="3"/>
      <c r="N44" s="3"/>
      <c r="O44"/>
    </row>
    <row r="45" spans="1:16" x14ac:dyDescent="0.25">
      <c r="A45"/>
      <c r="B45" s="9" t="s">
        <v>45</v>
      </c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6" x14ac:dyDescent="0.25">
      <c r="A46"/>
      <c r="B46" t="s">
        <v>46</v>
      </c>
      <c r="C46" s="3">
        <f t="shared" ref="C46:N46" si="1">IF(C40&lt;$D$8,C39,MAX(($D$8-C41),0))</f>
        <v>1170</v>
      </c>
      <c r="D46" s="3">
        <f t="shared" si="1"/>
        <v>1150</v>
      </c>
      <c r="E46" s="3">
        <f t="shared" si="1"/>
        <v>1180</v>
      </c>
      <c r="F46" s="3">
        <f t="shared" si="1"/>
        <v>1160</v>
      </c>
      <c r="G46" s="3">
        <f t="shared" si="1"/>
        <v>1200</v>
      </c>
      <c r="H46" s="3">
        <f t="shared" si="1"/>
        <v>1201</v>
      </c>
      <c r="I46" s="3">
        <f t="shared" si="1"/>
        <v>1170</v>
      </c>
      <c r="J46" s="3">
        <f t="shared" si="1"/>
        <v>1170</v>
      </c>
      <c r="K46" s="3">
        <f t="shared" si="1"/>
        <v>1170</v>
      </c>
      <c r="L46" s="3">
        <f t="shared" si="1"/>
        <v>575.70000000000073</v>
      </c>
      <c r="M46" s="3">
        <f t="shared" si="1"/>
        <v>0</v>
      </c>
      <c r="N46" s="3">
        <f t="shared" si="1"/>
        <v>0</v>
      </c>
      <c r="O46"/>
    </row>
    <row r="47" spans="1:16" x14ac:dyDescent="0.25">
      <c r="A47"/>
      <c r="B47" t="s">
        <v>47</v>
      </c>
      <c r="C47" s="3">
        <f t="shared" ref="C47:N47" si="2">IF(C40&lt;$D$8,0,C39-MAX(($D$8-C41),0))</f>
        <v>0</v>
      </c>
      <c r="D47" s="3">
        <f t="shared" si="2"/>
        <v>0</v>
      </c>
      <c r="E47" s="3">
        <f t="shared" si="2"/>
        <v>0</v>
      </c>
      <c r="F47" s="3">
        <f t="shared" si="2"/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524.29999999999927</v>
      </c>
      <c r="M47" s="3">
        <f t="shared" si="2"/>
        <v>1205</v>
      </c>
      <c r="N47" s="3">
        <f t="shared" si="2"/>
        <v>1210</v>
      </c>
      <c r="O47"/>
    </row>
    <row r="48" spans="1:16" x14ac:dyDescent="0.25">
      <c r="A48"/>
      <c r="B4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/>
    </row>
    <row r="49" spans="1:15" x14ac:dyDescent="0.25">
      <c r="A49" s="27" t="s">
        <v>56</v>
      </c>
      <c r="B49"/>
      <c r="C49" s="20">
        <f>IF(C40&lt;$D$8,$D$31*C43/$D$13*(C39-C42),0)</f>
        <v>24197.898758392894</v>
      </c>
      <c r="D49" s="20">
        <f t="shared" ref="D49:N49" si="3">IF(D40&lt;$D$8,$D$31*D43/$D$13*(D39-D42),0)</f>
        <v>23995.763538941599</v>
      </c>
      <c r="E49" s="20">
        <f t="shared" si="3"/>
        <v>24871.682823230531</v>
      </c>
      <c r="F49" s="20">
        <f t="shared" si="3"/>
        <v>24663.513716631438</v>
      </c>
      <c r="G49" s="20">
        <f t="shared" si="3"/>
        <v>25774.754599684562</v>
      </c>
      <c r="H49" s="20">
        <f t="shared" si="3"/>
        <v>26031.395933037642</v>
      </c>
      <c r="I49" s="20">
        <f t="shared" si="3"/>
        <v>25567.591140943434</v>
      </c>
      <c r="J49" s="20">
        <f t="shared" si="3"/>
        <v>25795.873204701857</v>
      </c>
      <c r="K49" s="20">
        <f t="shared" si="3"/>
        <v>26024.155268460279</v>
      </c>
      <c r="L49" s="20">
        <f t="shared" si="3"/>
        <v>0</v>
      </c>
      <c r="M49" s="20">
        <f t="shared" si="3"/>
        <v>0</v>
      </c>
      <c r="N49" s="20">
        <f t="shared" si="3"/>
        <v>0</v>
      </c>
      <c r="O49"/>
    </row>
    <row r="50" spans="1:15" x14ac:dyDescent="0.25">
      <c r="A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/>
    </row>
    <row r="51" spans="1:15" x14ac:dyDescent="0.25">
      <c r="A51" s="27" t="s">
        <v>57</v>
      </c>
      <c r="C51" s="20">
        <f>IF(C40&gt;$D$8,$D$31*C43/$D$13*(MAX(($D$8-C41),0)+(C39-MAX(($D$8-C41),0))*0.75-C42),0)</f>
        <v>0</v>
      </c>
      <c r="D51" s="20">
        <f t="shared" ref="D51:M51" si="4">IF(D40&gt;$D$8,$D$31*D43/$D$13*(MAX(($D$8-D41),0)+(D39-MAX(($D$8-D41),0))*0.75-D42),0)</f>
        <v>0</v>
      </c>
      <c r="E51" s="20">
        <f t="shared" si="4"/>
        <v>0</v>
      </c>
      <c r="F51" s="20">
        <f t="shared" si="4"/>
        <v>0</v>
      </c>
      <c r="G51" s="20">
        <f t="shared" si="4"/>
        <v>0</v>
      </c>
      <c r="H51" s="20">
        <f t="shared" si="4"/>
        <v>0</v>
      </c>
      <c r="I51" s="20">
        <f t="shared" si="4"/>
        <v>0</v>
      </c>
      <c r="J51" s="20">
        <f t="shared" si="4"/>
        <v>0</v>
      </c>
      <c r="K51" s="20">
        <f t="shared" si="4"/>
        <v>0</v>
      </c>
      <c r="L51" s="20">
        <f t="shared" si="4"/>
        <v>21601.592542284016</v>
      </c>
      <c r="M51" s="20">
        <f t="shared" si="4"/>
        <v>20268.832577317295</v>
      </c>
      <c r="N51" s="20">
        <f>IF(N40&gt;$D$8,$D$31*N43/$D$13*(MAX(($D$8-N41),0)+(N39-MAX(($D$8-N41),0))*0.75-N42),0)</f>
        <v>20531.809492175569</v>
      </c>
      <c r="O51"/>
    </row>
    <row r="52" spans="1:15" x14ac:dyDescent="0.25">
      <c r="A52" s="28"/>
      <c r="B52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/>
    </row>
    <row r="53" spans="1:15" x14ac:dyDescent="0.25">
      <c r="A53" s="22" t="s">
        <v>48</v>
      </c>
      <c r="B53"/>
      <c r="C53" s="23">
        <f>C51+C49</f>
        <v>24197.898758392894</v>
      </c>
      <c r="D53" s="23">
        <f t="shared" ref="D53:N53" si="5">D51+D49</f>
        <v>23995.763538941599</v>
      </c>
      <c r="E53" s="23">
        <f t="shared" si="5"/>
        <v>24871.682823230531</v>
      </c>
      <c r="F53" s="23">
        <f t="shared" si="5"/>
        <v>24663.513716631438</v>
      </c>
      <c r="G53" s="23">
        <f t="shared" si="5"/>
        <v>25774.754599684562</v>
      </c>
      <c r="H53" s="23">
        <f t="shared" si="5"/>
        <v>26031.395933037642</v>
      </c>
      <c r="I53" s="23">
        <f t="shared" si="5"/>
        <v>25567.591140943434</v>
      </c>
      <c r="J53" s="23">
        <f t="shared" si="5"/>
        <v>25795.873204701857</v>
      </c>
      <c r="K53" s="23">
        <f t="shared" si="5"/>
        <v>26024.155268460279</v>
      </c>
      <c r="L53" s="23">
        <f t="shared" si="5"/>
        <v>21601.592542284016</v>
      </c>
      <c r="M53" s="23">
        <f t="shared" si="5"/>
        <v>20268.832577317295</v>
      </c>
      <c r="N53" s="23">
        <f t="shared" si="5"/>
        <v>20531.809492175569</v>
      </c>
      <c r="O53"/>
    </row>
    <row r="54" spans="1:15" x14ac:dyDescent="0.25">
      <c r="A54" s="26"/>
      <c r="B54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/>
    </row>
    <row r="55" spans="1:15" x14ac:dyDescent="0.25">
      <c r="A55" t="s">
        <v>49</v>
      </c>
      <c r="C55" s="20">
        <v>5000</v>
      </c>
      <c r="D55" s="20">
        <v>5000</v>
      </c>
      <c r="E55" s="20">
        <v>5000</v>
      </c>
      <c r="F55" s="20">
        <v>5000</v>
      </c>
      <c r="G55" s="20">
        <v>5000</v>
      </c>
      <c r="H55" s="20">
        <v>5000</v>
      </c>
      <c r="I55" s="20">
        <v>5000</v>
      </c>
      <c r="J55" s="20">
        <v>5000</v>
      </c>
      <c r="K55" s="20">
        <v>5000</v>
      </c>
      <c r="L55" s="20">
        <v>5000</v>
      </c>
      <c r="M55" s="20">
        <v>5000</v>
      </c>
      <c r="N55" s="20">
        <v>5000</v>
      </c>
      <c r="O55"/>
    </row>
    <row r="56" spans="1: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5" x14ac:dyDescent="0.25">
      <c r="A57" s="4" t="s">
        <v>53</v>
      </c>
      <c r="C57" s="24">
        <f>C53-C55</f>
        <v>19197.898758392894</v>
      </c>
      <c r="D57" s="24">
        <f t="shared" ref="D57:N57" si="6">D53-D55</f>
        <v>18995.763538941599</v>
      </c>
      <c r="E57" s="24">
        <f t="shared" si="6"/>
        <v>19871.682823230531</v>
      </c>
      <c r="F57" s="24">
        <f t="shared" si="6"/>
        <v>19663.513716631438</v>
      </c>
      <c r="G57" s="24">
        <f t="shared" si="6"/>
        <v>20774.754599684562</v>
      </c>
      <c r="H57" s="24">
        <f t="shared" si="6"/>
        <v>21031.395933037642</v>
      </c>
      <c r="I57" s="24">
        <f t="shared" si="6"/>
        <v>20567.591140943434</v>
      </c>
      <c r="J57" s="24">
        <f t="shared" si="6"/>
        <v>20795.873204701857</v>
      </c>
      <c r="K57" s="24">
        <f t="shared" si="6"/>
        <v>21024.155268460279</v>
      </c>
      <c r="L57" s="24">
        <f t="shared" si="6"/>
        <v>16601.592542284016</v>
      </c>
      <c r="M57" s="24">
        <f t="shared" si="6"/>
        <v>15268.832577317295</v>
      </c>
      <c r="N57" s="24">
        <f t="shared" si="6"/>
        <v>15531.809492175569</v>
      </c>
      <c r="O57"/>
    </row>
    <row r="61" spans="1:15" x14ac:dyDescent="0.25">
      <c r="C61" s="31"/>
      <c r="D61" s="32"/>
      <c r="E61" s="32"/>
      <c r="F61" s="32"/>
      <c r="G61" s="32"/>
      <c r="H61" s="32"/>
      <c r="I61" s="32"/>
      <c r="J61" s="32"/>
      <c r="K61" s="32"/>
      <c r="L61" s="31"/>
      <c r="M61" s="32"/>
      <c r="N61" s="32"/>
    </row>
    <row r="62" spans="1:15" x14ac:dyDescent="0.25">
      <c r="C62" s="31"/>
      <c r="D62" s="32"/>
      <c r="E62" s="32"/>
      <c r="F62" s="32"/>
      <c r="G62" s="32"/>
      <c r="H62" s="32"/>
      <c r="I62" s="32"/>
      <c r="J62" s="32"/>
      <c r="K62" s="32"/>
      <c r="L62" s="31"/>
      <c r="M62" s="32"/>
      <c r="N62" s="32"/>
    </row>
    <row r="64" spans="1:15" x14ac:dyDescent="0.25">
      <c r="C64" s="1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6" x14ac:dyDescent="0.2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6" x14ac:dyDescent="0.25">
      <c r="C66" s="1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6" x14ac:dyDescent="0.25">
      <c r="O67" s="3"/>
    </row>
    <row r="68" spans="1:16" x14ac:dyDescent="0.25">
      <c r="B68" s="33"/>
      <c r="C68" s="35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3"/>
    </row>
    <row r="69" spans="1:16" x14ac:dyDescent="0.25">
      <c r="C69" s="35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3"/>
    </row>
    <row r="70" spans="1:16" x14ac:dyDescent="0.25">
      <c r="C70" s="1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2"/>
    </row>
    <row r="71" spans="1:16" x14ac:dyDescent="0.25">
      <c r="C71" s="34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5" spans="1:16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25">
      <c r="A76"/>
      <c r="B76" s="4"/>
      <c r="C76" s="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/>
    </row>
    <row r="84" spans="1:1" x14ac:dyDescent="0.25">
      <c r="A84" s="1" t="s">
        <v>6</v>
      </c>
    </row>
  </sheetData>
  <pageMargins left="0.70866141732283472" right="0.70866141732283472" top="0.74803149606299213" bottom="0.74803149606299213" header="0.31496062992125984" footer="0.31496062992125984"/>
  <pageSetup paperSize="9" scale="67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B5102-E99A-41CC-974A-39407C3EA499}">
  <dimension ref="C5:G31"/>
  <sheetViews>
    <sheetView rightToLeft="1" tabSelected="1" topLeftCell="A3" zoomScale="90" zoomScaleNormal="90" workbookViewId="0">
      <selection activeCell="D27" sqref="D27"/>
    </sheetView>
  </sheetViews>
  <sheetFormatPr defaultColWidth="8.7109375" defaultRowHeight="15" x14ac:dyDescent="0.25"/>
  <cols>
    <col min="1" max="2" width="8.7109375" style="9"/>
    <col min="3" max="3" width="40.28515625" style="9" bestFit="1" customWidth="1"/>
    <col min="4" max="4" width="16" style="9" customWidth="1"/>
    <col min="5" max="5" width="18.42578125" style="9" customWidth="1"/>
    <col min="6" max="6" width="8.28515625" style="9" bestFit="1" customWidth="1"/>
    <col min="7" max="7" width="4.28515625" style="9" bestFit="1" customWidth="1"/>
    <col min="8" max="16384" width="8.7109375" style="9"/>
  </cols>
  <sheetData>
    <row r="5" spans="3:7" x14ac:dyDescent="0.25">
      <c r="C5" s="1" t="s">
        <v>66</v>
      </c>
    </row>
    <row r="7" spans="3:7" ht="15.75" thickBot="1" x14ac:dyDescent="0.3">
      <c r="C7" s="1" t="s">
        <v>67</v>
      </c>
    </row>
    <row r="8" spans="3:7" ht="45.75" thickBot="1" x14ac:dyDescent="0.3">
      <c r="C8" s="47" t="s">
        <v>60</v>
      </c>
      <c r="D8" s="48" t="s">
        <v>61</v>
      </c>
      <c r="E8" s="48" t="s">
        <v>62</v>
      </c>
      <c r="F8" s="48" t="s">
        <v>69</v>
      </c>
    </row>
    <row r="9" spans="3:7" ht="15.75" thickBot="1" x14ac:dyDescent="0.3">
      <c r="C9" s="49" t="s">
        <v>63</v>
      </c>
      <c r="D9" s="29">
        <v>9236.2999999999993</v>
      </c>
      <c r="E9" s="50">
        <v>0.95699999999999996</v>
      </c>
      <c r="F9" s="38">
        <f>E9*D9*D15</f>
        <v>186670.28734586455</v>
      </c>
      <c r="G9" s="18"/>
    </row>
    <row r="10" spans="3:7" ht="15.75" thickBot="1" x14ac:dyDescent="0.3">
      <c r="C10" s="51" t="s">
        <v>64</v>
      </c>
      <c r="D10" s="29">
        <v>1910.4</v>
      </c>
      <c r="E10" s="50">
        <v>1.208</v>
      </c>
      <c r="F10" s="38">
        <f>F11-F9</f>
        <v>48732.467200463259</v>
      </c>
      <c r="G10" s="18"/>
    </row>
    <row r="11" spans="3:7" ht="15.75" thickBot="1" x14ac:dyDescent="0.3">
      <c r="C11" s="52" t="s">
        <v>65</v>
      </c>
      <c r="D11" s="30">
        <v>11146.7</v>
      </c>
      <c r="E11" s="53"/>
      <c r="F11" s="38">
        <f>D14</f>
        <v>235402.75454632781</v>
      </c>
      <c r="G11" s="12"/>
    </row>
    <row r="13" spans="3:7" ht="15.75" thickBot="1" x14ac:dyDescent="0.3">
      <c r="E13" s="18"/>
    </row>
    <row r="14" spans="3:7" x14ac:dyDescent="0.25">
      <c r="C14" s="39" t="s">
        <v>71</v>
      </c>
      <c r="D14" s="40">
        <f>'דוג מפורטת לחישוב סוב'!D28</f>
        <v>235402.75454632781</v>
      </c>
      <c r="E14" s="24"/>
      <c r="F14" s="12"/>
    </row>
    <row r="15" spans="3:7" ht="15.75" thickBot="1" x14ac:dyDescent="0.3">
      <c r="C15" s="41" t="s">
        <v>28</v>
      </c>
      <c r="D15" s="42">
        <f>D14/D11</f>
        <v>21.118605017299092</v>
      </c>
      <c r="E15" s="6"/>
    </row>
    <row r="16" spans="3:7" x14ac:dyDescent="0.25">
      <c r="C16" s="4"/>
      <c r="D16" s="4"/>
      <c r="E16" s="6"/>
    </row>
    <row r="17" spans="3:6" x14ac:dyDescent="0.25">
      <c r="C17" s="4"/>
      <c r="D17" s="4"/>
      <c r="E17" s="6"/>
    </row>
    <row r="18" spans="3:6" x14ac:dyDescent="0.25">
      <c r="C18" s="4"/>
      <c r="D18" s="4"/>
      <c r="E18" s="6"/>
    </row>
    <row r="19" spans="3:6" ht="15.75" thickBot="1" x14ac:dyDescent="0.3">
      <c r="C19" s="1" t="s">
        <v>68</v>
      </c>
    </row>
    <row r="20" spans="3:6" ht="45.75" thickBot="1" x14ac:dyDescent="0.3">
      <c r="C20" s="47" t="s">
        <v>60</v>
      </c>
      <c r="D20" s="48" t="s">
        <v>70</v>
      </c>
      <c r="E20" s="48" t="s">
        <v>62</v>
      </c>
      <c r="F20" s="48" t="s">
        <v>73</v>
      </c>
    </row>
    <row r="21" spans="3:6" ht="15.75" thickBot="1" x14ac:dyDescent="0.3">
      <c r="C21" s="49" t="s">
        <v>63</v>
      </c>
      <c r="D21" s="43">
        <f>D23-D22</f>
        <v>840</v>
      </c>
      <c r="E21" s="50">
        <f>E9</f>
        <v>0.95699999999999996</v>
      </c>
      <c r="F21" s="38">
        <f>E21*D21*D15</f>
        <v>16976.824201306394</v>
      </c>
    </row>
    <row r="22" spans="3:6" ht="15.75" thickBot="1" x14ac:dyDescent="0.3">
      <c r="C22" s="51" t="s">
        <v>64</v>
      </c>
      <c r="D22" s="43">
        <f>0.3*D23</f>
        <v>360</v>
      </c>
      <c r="E22" s="50">
        <f>E10</f>
        <v>1.208</v>
      </c>
      <c r="F22" s="38">
        <f>E22*D22*D15</f>
        <v>9184.05894992303</v>
      </c>
    </row>
    <row r="23" spans="3:6" ht="15.75" thickBot="1" x14ac:dyDescent="0.3">
      <c r="C23" s="52" t="s">
        <v>65</v>
      </c>
      <c r="D23" s="44">
        <f>'דוג מפורטת לחישוב סוב'!G39</f>
        <v>1200</v>
      </c>
      <c r="E23" s="54"/>
      <c r="F23" s="38">
        <f>SUM(F21:F22)</f>
        <v>26160.883151229424</v>
      </c>
    </row>
    <row r="24" spans="3:6" x14ac:dyDescent="0.25">
      <c r="D24" s="12"/>
    </row>
    <row r="25" spans="3:6" ht="15.75" thickBot="1" x14ac:dyDescent="0.3"/>
    <row r="26" spans="3:6" ht="15.75" thickBot="1" x14ac:dyDescent="0.3">
      <c r="C26" s="45" t="s">
        <v>72</v>
      </c>
      <c r="D26" s="46">
        <f>F23/D23</f>
        <v>21.800735959357851</v>
      </c>
    </row>
    <row r="28" spans="3:6" x14ac:dyDescent="0.25">
      <c r="D28" s="34"/>
    </row>
    <row r="30" spans="3:6" x14ac:dyDescent="0.25">
      <c r="D30" s="35"/>
    </row>
    <row r="31" spans="3:6" x14ac:dyDescent="0.25">
      <c r="D31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דוג מפורטת לחישוב סוב</vt:lpstr>
      <vt:lpstr>עדכון מחיר ממוצע לק"מ לפי תמהיל</vt:lpstr>
    </vt:vector>
  </TitlesOfParts>
  <Company>עדליא ייעוץ כלכלי בע"מ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eyall</dc:creator>
  <cp:lastModifiedBy>Amos Hagag</cp:lastModifiedBy>
  <cp:lastPrinted>2011-08-31T09:51:42Z</cp:lastPrinted>
  <dcterms:created xsi:type="dcterms:W3CDTF">2011-06-02T10:00:48Z</dcterms:created>
  <dcterms:modified xsi:type="dcterms:W3CDTF">2025-10-09T13:07:40Z</dcterms:modified>
</cp:coreProperties>
</file>